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lishaMichaels\Desktop\"/>
    </mc:Choice>
  </mc:AlternateContent>
  <xr:revisionPtr revIDLastSave="0" documentId="13_ncr:8001_{7FBF69F0-35AE-4085-8393-38EA40A4E3A4}" xr6:coauthVersionLast="36" xr6:coauthVersionMax="36" xr10:uidLastSave="{00000000-0000-0000-0000-000000000000}"/>
  <bookViews>
    <workbookView xWindow="0" yWindow="0" windowWidth="12324" windowHeight="2364" xr2:uid="{00000000-000D-0000-FFFF-FFFF00000000}"/>
  </bookViews>
  <sheets>
    <sheet name="Answer Sheet" sheetId="2" r:id="rId1"/>
    <sheet name="Coefficients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3" i="1"/>
  <c r="J3" i="1" s="1"/>
  <c r="I23" i="1" l="1"/>
  <c r="R24" i="1"/>
  <c r="M22" i="1"/>
  <c r="N22" i="1"/>
  <c r="O22" i="1"/>
  <c r="P22" i="1"/>
  <c r="Q22" i="1"/>
  <c r="R22" i="1"/>
  <c r="L22" i="1"/>
  <c r="R21" i="1"/>
  <c r="B3" i="2" l="1"/>
  <c r="M24" i="1" l="1"/>
  <c r="N24" i="1"/>
  <c r="O24" i="1"/>
  <c r="P24" i="1"/>
  <c r="Q24" i="1"/>
  <c r="L24" i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R4" i="1"/>
  <c r="R5" i="1"/>
  <c r="R7" i="1"/>
  <c r="R8" i="1"/>
  <c r="R10" i="1"/>
  <c r="R11" i="1"/>
  <c r="R12" i="1"/>
  <c r="R13" i="1"/>
  <c r="R14" i="1"/>
  <c r="R15" i="1"/>
  <c r="R16" i="1"/>
  <c r="R19" i="1"/>
  <c r="R20" i="1"/>
  <c r="R3" i="1"/>
  <c r="R18" i="1" l="1"/>
  <c r="K18" i="1"/>
  <c r="K27" i="1" s="1"/>
  <c r="R6" i="1"/>
  <c r="K6" i="1"/>
  <c r="R17" i="1"/>
  <c r="K17" i="1"/>
  <c r="R9" i="1"/>
  <c r="K9" i="1"/>
  <c r="R23" i="1" l="1"/>
  <c r="R25" i="1" s="1"/>
  <c r="K25" i="1"/>
  <c r="K26" i="1" s="1"/>
  <c r="K28" i="1" s="1"/>
  <c r="K29" i="1" s="1"/>
  <c r="L21" i="1"/>
  <c r="M21" i="1"/>
  <c r="N21" i="1"/>
  <c r="O21" i="1"/>
  <c r="P21" i="1"/>
  <c r="Q21" i="1"/>
  <c r="O3" i="1"/>
  <c r="L4" i="1"/>
  <c r="M5" i="1"/>
  <c r="N6" i="1"/>
  <c r="O7" i="1"/>
  <c r="L8" i="1"/>
  <c r="M9" i="1"/>
  <c r="N10" i="1"/>
  <c r="O11" i="1"/>
  <c r="L12" i="1"/>
  <c r="M13" i="1"/>
  <c r="N14" i="1"/>
  <c r="O15" i="1"/>
  <c r="L16" i="1"/>
  <c r="M17" i="1"/>
  <c r="L18" i="1"/>
  <c r="M19" i="1"/>
  <c r="N20" i="1"/>
  <c r="Q20" i="1" l="1"/>
  <c r="M20" i="1"/>
  <c r="P19" i="1"/>
  <c r="L19" i="1"/>
  <c r="O18" i="1"/>
  <c r="P20" i="1"/>
  <c r="L20" i="1"/>
  <c r="O19" i="1"/>
  <c r="N18" i="1"/>
  <c r="O20" i="1"/>
  <c r="N19" i="1"/>
  <c r="Q18" i="1"/>
  <c r="M18" i="1"/>
  <c r="Q19" i="1"/>
  <c r="P18" i="1"/>
  <c r="P17" i="1"/>
  <c r="L17" i="1"/>
  <c r="O16" i="1"/>
  <c r="N15" i="1"/>
  <c r="Q14" i="1"/>
  <c r="M14" i="1"/>
  <c r="P13" i="1"/>
  <c r="L13" i="1"/>
  <c r="O12" i="1"/>
  <c r="N11" i="1"/>
  <c r="Q10" i="1"/>
  <c r="M10" i="1"/>
  <c r="P9" i="1"/>
  <c r="L9" i="1"/>
  <c r="O8" i="1"/>
  <c r="N7" i="1"/>
  <c r="Q6" i="1"/>
  <c r="M6" i="1"/>
  <c r="P5" i="1"/>
  <c r="L5" i="1"/>
  <c r="O4" i="1"/>
  <c r="N3" i="1"/>
  <c r="O17" i="1"/>
  <c r="N16" i="1"/>
  <c r="Q15" i="1"/>
  <c r="M15" i="1"/>
  <c r="P14" i="1"/>
  <c r="L14" i="1"/>
  <c r="O13" i="1"/>
  <c r="N12" i="1"/>
  <c r="Q11" i="1"/>
  <c r="M11" i="1"/>
  <c r="P10" i="1"/>
  <c r="L10" i="1"/>
  <c r="O9" i="1"/>
  <c r="N8" i="1"/>
  <c r="Q7" i="1"/>
  <c r="M7" i="1"/>
  <c r="P6" i="1"/>
  <c r="L6" i="1"/>
  <c r="O5" i="1"/>
  <c r="N4" i="1"/>
  <c r="Q3" i="1"/>
  <c r="M3" i="1"/>
  <c r="N17" i="1"/>
  <c r="Q16" i="1"/>
  <c r="M16" i="1"/>
  <c r="P15" i="1"/>
  <c r="L15" i="1"/>
  <c r="O14" i="1"/>
  <c r="N13" i="1"/>
  <c r="Q12" i="1"/>
  <c r="M12" i="1"/>
  <c r="P11" i="1"/>
  <c r="L11" i="1"/>
  <c r="O10" i="1"/>
  <c r="N9" i="1"/>
  <c r="Q8" i="1"/>
  <c r="M8" i="1"/>
  <c r="P7" i="1"/>
  <c r="L7" i="1"/>
  <c r="O6" i="1"/>
  <c r="N5" i="1"/>
  <c r="Q4" i="1"/>
  <c r="M4" i="1"/>
  <c r="P3" i="1"/>
  <c r="L3" i="1"/>
  <c r="Q17" i="1"/>
  <c r="P16" i="1"/>
  <c r="Q13" i="1"/>
  <c r="P12" i="1"/>
  <c r="Q9" i="1"/>
  <c r="P8" i="1"/>
  <c r="Q5" i="1"/>
  <c r="P4" i="1"/>
  <c r="O23" i="1" l="1"/>
  <c r="O25" i="1" s="1"/>
  <c r="M23" i="1"/>
  <c r="M25" i="1" s="1"/>
  <c r="L23" i="1"/>
  <c r="Q23" i="1"/>
  <c r="Q25" i="1" s="1"/>
  <c r="N23" i="1"/>
  <c r="N25" i="1" s="1"/>
  <c r="P23" i="1"/>
  <c r="P25" i="1" s="1"/>
  <c r="L25" i="1" l="1"/>
  <c r="S25" i="1" s="1"/>
  <c r="L29" i="1"/>
  <c r="L30" i="1" s="1"/>
  <c r="S23" i="1"/>
  <c r="L26" i="1" s="1"/>
  <c r="L27" i="1" s="1"/>
  <c r="K30" i="1" s="1"/>
  <c r="J31" i="1" s="1"/>
  <c r="K31" i="1" s="1"/>
  <c r="K32" i="1" l="1"/>
  <c r="C25" i="2" s="1"/>
  <c r="O28" i="1"/>
  <c r="R28" i="1"/>
  <c r="M28" i="1"/>
  <c r="P28" i="1"/>
  <c r="N28" i="1"/>
  <c r="Q28" i="1"/>
  <c r="L28" i="1"/>
</calcChain>
</file>

<file path=xl/sharedStrings.xml><?xml version="1.0" encoding="utf-8"?>
<sst xmlns="http://schemas.openxmlformats.org/spreadsheetml/2006/main" count="90" uniqueCount="64">
  <si>
    <t>dc2_10</t>
  </si>
  <si>
    <t>dc2_12</t>
  </si>
  <si>
    <t>dc2_13</t>
  </si>
  <si>
    <t>dc2_17</t>
  </si>
  <si>
    <t>dc2_19</t>
  </si>
  <si>
    <t>dc2_22</t>
  </si>
  <si>
    <t>dc2_35</t>
  </si>
  <si>
    <t>dc2_39</t>
  </si>
  <si>
    <t>dc2_46</t>
  </si>
  <si>
    <t>dc2_49</t>
  </si>
  <si>
    <t>dc2_51</t>
  </si>
  <si>
    <t>dc2_58</t>
  </si>
  <si>
    <t>dc2_63</t>
  </si>
  <si>
    <t>dc2_64</t>
  </si>
  <si>
    <t>dc2_1</t>
  </si>
  <si>
    <t>dc2_2</t>
  </si>
  <si>
    <t>dc2_5</t>
  </si>
  <si>
    <t>dc2_6</t>
  </si>
  <si>
    <t>Neither Agree Nor Disagree</t>
  </si>
  <si>
    <t>Please select answer in drop down menu</t>
  </si>
  <si>
    <t/>
  </si>
  <si>
    <t>CE_6_9S</t>
  </si>
  <si>
    <t>18 statements</t>
  </si>
  <si>
    <t>2CV Typing tool - London Sport Segmentation</t>
  </si>
  <si>
    <t>Somewhat Disagree</t>
  </si>
  <si>
    <t>Somewhat Agree</t>
  </si>
  <si>
    <t>Completely Agree</t>
  </si>
  <si>
    <t>Extremely Dissatisifed</t>
  </si>
  <si>
    <t>Extremely Satisfied</t>
  </si>
  <si>
    <t>Anxious avoiders</t>
  </si>
  <si>
    <t>Young impressionables</t>
  </si>
  <si>
    <t>Almost active</t>
  </si>
  <si>
    <t>Time poor integrators</t>
  </si>
  <si>
    <t>Elderly evaders</t>
  </si>
  <si>
    <t>Inconsistently involved</t>
  </si>
  <si>
    <t>Want to but can't</t>
  </si>
  <si>
    <t xml:space="preserve">I find exercise a pleasurable activity </t>
  </si>
  <si>
    <t xml:space="preserve">I worry that I will be judged by other people </t>
  </si>
  <si>
    <t xml:space="preserve">My life is busy enough as it is, I don’t have the luxury of time to spend getting active </t>
  </si>
  <si>
    <t xml:space="preserve">I don’t see the point in exercising </t>
  </si>
  <si>
    <t xml:space="preserve">I just don’t have the drive to get me active </t>
  </si>
  <si>
    <t xml:space="preserve">I have the ability to be more active </t>
  </si>
  <si>
    <t xml:space="preserve">Childcare or work logistics make it impossible </t>
  </si>
  <si>
    <t xml:space="preserve">I’m a bit embarrassed about how unfit I am </t>
  </si>
  <si>
    <t xml:space="preserve">I worry that I might get injured or experience pain </t>
  </si>
  <si>
    <t xml:space="preserve">I used to enjoy sport/physical activity when I was much younger </t>
  </si>
  <si>
    <t xml:space="preserve">The only physical activity I’m interested in doing is proper sports </t>
  </si>
  <si>
    <t xml:space="preserve">I struggle to fit in proper exercise alongside work/family etc </t>
  </si>
  <si>
    <t xml:space="preserve">I feel guilty when I don’t exercise </t>
  </si>
  <si>
    <t xml:space="preserve">I always try to focus on looking forwards and don’t spend much time reflecting on what has already happened </t>
  </si>
  <si>
    <t xml:space="preserve">I don’t know how to become more active </t>
  </si>
  <si>
    <t xml:space="preserve">I can’t run / play sport like I used to </t>
  </si>
  <si>
    <t xml:space="preserve">It’s just too much hassle to arrange and plan physical activity – I need to co-ordinate other areas of my life to make it happen </t>
  </si>
  <si>
    <t>I’m motivated by the prospect of achieving ‘small victories’ when it comes to sport</t>
  </si>
  <si>
    <t>Overall, how satisfied are you with your life nowadays?</t>
  </si>
  <si>
    <t>Constant</t>
  </si>
  <si>
    <r>
      <t xml:space="preserve">Overall, how </t>
    </r>
    <r>
      <rPr>
        <b/>
        <sz val="10"/>
        <color theme="1"/>
        <rFont val="Calibri"/>
        <family val="2"/>
        <scheme val="minor"/>
      </rPr>
      <t>satisfied</t>
    </r>
    <r>
      <rPr>
        <sz val="10"/>
        <color theme="1"/>
        <rFont val="Calibri"/>
        <family val="2"/>
        <scheme val="minor"/>
      </rPr>
      <t xml:space="preserve"> are you with your life nowadays? Please rate from 0 to 10 with </t>
    </r>
    <r>
      <rPr>
        <b/>
        <sz val="10"/>
        <color theme="1"/>
        <rFont val="Calibri"/>
        <family val="2"/>
        <scheme val="minor"/>
      </rPr>
      <t>0 meaning extremely dissatisfied and 10 meaning extremely satisfied</t>
    </r>
  </si>
  <si>
    <t>Completely Disagree</t>
  </si>
  <si>
    <t>inconhigh</t>
  </si>
  <si>
    <t>inconlow</t>
  </si>
  <si>
    <t>inconsum</t>
  </si>
  <si>
    <t>inconcheck</t>
  </si>
  <si>
    <t>Segment</t>
  </si>
  <si>
    <t>Please select an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</si>
</sst>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0"/>
    <numFmt numFmtId="165" formatCode="####.000"/>
    <numFmt numFmtId="166" formatCode="###0"/>
    <numFmt numFmtId="167" formatCode="###0.0"/>
  </numFmts>
  <fonts count="1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indexed="62"/>
      <name val="Arial"/>
      <family val="2"/>
    </font>
    <font>
      <sz val="9"/>
      <color indexed="60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3" fillId="0" borderId="2" xfId="2" applyFont="1" applyBorder="1" applyAlignment="1"/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left" vertical="top"/>
    </xf>
    <xf numFmtId="164" fontId="3" fillId="0" borderId="6" xfId="2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164" fontId="3" fillId="0" borderId="7" xfId="2" applyNumberFormat="1" applyFont="1" applyBorder="1" applyAlignment="1">
      <alignment horizontal="right" vertical="center"/>
    </xf>
    <xf numFmtId="0" fontId="3" fillId="0" borderId="8" xfId="2" applyFont="1" applyBorder="1" applyAlignment="1">
      <alignment horizontal="left" vertical="top"/>
    </xf>
    <xf numFmtId="165" fontId="3" fillId="0" borderId="9" xfId="2" applyNumberFormat="1" applyFont="1" applyBorder="1" applyAlignment="1">
      <alignment horizontal="right" vertical="center"/>
    </xf>
    <xf numFmtId="165" fontId="3" fillId="0" borderId="10" xfId="2" applyNumberFormat="1" applyFont="1" applyBorder="1" applyAlignment="1">
      <alignment horizontal="right" vertical="center"/>
    </xf>
    <xf numFmtId="164" fontId="3" fillId="0" borderId="10" xfId="2" applyNumberFormat="1" applyFont="1" applyBorder="1" applyAlignment="1">
      <alignment horizontal="right" vertical="center"/>
    </xf>
    <xf numFmtId="164" fontId="3" fillId="0" borderId="9" xfId="2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7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left" vertical="top" wrapText="1"/>
    </xf>
    <xf numFmtId="0" fontId="5" fillId="0" borderId="0" xfId="3" applyFont="1" applyBorder="1" applyAlignment="1">
      <alignment wrapText="1"/>
    </xf>
    <xf numFmtId="0" fontId="5" fillId="0" borderId="0" xfId="3" applyFont="1" applyBorder="1" applyAlignment="1">
      <alignment horizontal="center" wrapText="1"/>
    </xf>
    <xf numFmtId="166" fontId="5" fillId="0" borderId="0" xfId="3" applyNumberFormat="1" applyFont="1" applyBorder="1" applyAlignment="1">
      <alignment horizontal="right" vertical="center"/>
    </xf>
    <xf numFmtId="167" fontId="5" fillId="0" borderId="0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top"/>
    </xf>
    <xf numFmtId="0" fontId="4" fillId="0" borderId="0" xfId="0" applyFont="1" applyBorder="1"/>
    <xf numFmtId="0" fontId="8" fillId="0" borderId="0" xfId="2" applyFont="1" applyBorder="1" applyAlignment="1">
      <alignment horizontal="left" vertical="top"/>
    </xf>
    <xf numFmtId="0" fontId="9" fillId="0" borderId="0" xfId="0" applyFont="1" applyAlignment="1">
      <alignment horizontal="center" wrapText="1"/>
    </xf>
    <xf numFmtId="164" fontId="5" fillId="0" borderId="0" xfId="2" applyNumberFormat="1" applyFont="1" applyFill="1" applyBorder="1" applyAlignment="1">
      <alignment horizontal="right" vertical="center"/>
    </xf>
    <xf numFmtId="9" fontId="0" fillId="0" borderId="0" xfId="4" applyFont="1"/>
    <xf numFmtId="0" fontId="10" fillId="0" borderId="0" xfId="0" applyFont="1" applyFill="1" applyBorder="1" applyAlignment="1">
      <alignment horizontal="right" indent="2"/>
    </xf>
    <xf numFmtId="0" fontId="10" fillId="3" borderId="11" xfId="0" applyFont="1" applyFill="1" applyBorder="1" applyAlignment="1">
      <alignment horizontal="right" indent="2"/>
    </xf>
    <xf numFmtId="9" fontId="12" fillId="4" borderId="11" xfId="0" applyNumberFormat="1" applyFont="1" applyFill="1" applyBorder="1" applyAlignment="1">
      <alignment horizontal="center"/>
    </xf>
    <xf numFmtId="0" fontId="13" fillId="0" borderId="0" xfId="0" applyFont="1"/>
    <xf numFmtId="0" fontId="14" fillId="5" borderId="12" xfId="2" applyFont="1" applyFill="1" applyBorder="1" applyAlignment="1">
      <alignment horizontal="left" vertical="top" wrapText="1"/>
    </xf>
    <xf numFmtId="164" fontId="15" fillId="0" borderId="13" xfId="2" applyNumberFormat="1" applyFont="1" applyBorder="1" applyAlignment="1">
      <alignment horizontal="right" vertical="top"/>
    </xf>
    <xf numFmtId="164" fontId="15" fillId="0" borderId="14" xfId="2" applyNumberFormat="1" applyFont="1" applyBorder="1" applyAlignment="1">
      <alignment horizontal="right" vertical="top"/>
    </xf>
    <xf numFmtId="164" fontId="15" fillId="0" borderId="15" xfId="2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left" vertical="top"/>
    </xf>
    <xf numFmtId="164" fontId="0" fillId="0" borderId="0" xfId="0" applyNumberFormat="1" applyAlignment="1">
      <alignment horizontal="left" vertical="center"/>
    </xf>
    <xf numFmtId="0" fontId="16" fillId="0" borderId="0" xfId="0" applyFont="1" applyBorder="1"/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2" applyFont="1" applyBorder="1" applyAlignment="1">
      <alignment vertical="top"/>
    </xf>
    <xf numFmtId="0" fontId="3" fillId="0" borderId="0" xfId="2" applyFont="1" applyFill="1" applyBorder="1" applyAlignment="1">
      <alignment vertical="top"/>
    </xf>
    <xf numFmtId="0" fontId="8" fillId="0" borderId="0" xfId="2" applyFont="1" applyBorder="1" applyAlignment="1">
      <alignment horizontal="left" vertical="top" wrapText="1"/>
    </xf>
    <xf numFmtId="0" fontId="1" fillId="2" borderId="1" xfId="1" applyAlignment="1">
      <alignment horizontal="center" vertical="center"/>
    </xf>
    <xf numFmtId="0" fontId="3" fillId="0" borderId="0" xfId="3" applyFont="1" applyBorder="1" applyAlignment="1"/>
    <xf numFmtId="0" fontId="4" fillId="0" borderId="0" xfId="0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_Coefficients" xfId="3" xr:uid="{00000000-0005-0000-0000-000001000000}"/>
    <cellStyle name="Normal_Sheet1" xfId="2" xr:uid="{00000000-0005-0000-0000-000002000000}"/>
    <cellStyle name="Output" xfId="1" builtinId="2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5400675</xdr:colOff>
      <xdr:row>3</xdr:row>
      <xdr:rowOff>76200</xdr:rowOff>
    </xdr:from>
    <xdr:to>
      <xdr:col>0</xdr:col>
      <xdr:colOff>6857999</xdr:colOff>
      <xdr:row>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00675" y="1076325"/>
          <a:ext cx="1457324" cy="10763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Notes on Full Algo </a:t>
          </a:r>
        </a:p>
        <a:p>
          <a:endParaRPr lang="en-GB" sz="1200"/>
        </a:p>
        <a:p>
          <a:r>
            <a:rPr lang="en-GB" sz="1200"/>
            <a:t>25 statements </a:t>
          </a:r>
        </a:p>
        <a:p>
          <a:r>
            <a:rPr lang="en-GB" sz="1200"/>
            <a:t>100% Accurate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B4" workbookViewId="0">
      <selection activeCell="C11" sqref="C11"/>
    </sheetView>
  </sheetViews>
  <sheetFormatPr defaultRowHeight="14.4" x14ac:dyDescent="0.3"/>
  <cols>
    <col min="1" max="1" width="0" hidden="1" customWidth="1"/>
    <col min="2" max="2" width="101.5546875" style="23" bestFit="1" customWidth="1"/>
    <col min="3" max="3" width="31.109375" style="46" customWidth="1"/>
  </cols>
  <sheetData>
    <row r="1" spans="1:3" x14ac:dyDescent="0.3">
      <c r="B1" s="38" t="s">
        <v>23</v>
      </c>
    </row>
    <row r="2" spans="1:3" ht="27.6" x14ac:dyDescent="0.3">
      <c r="B2" s="38" t="s">
        <v>22</v>
      </c>
      <c r="C2" s="25" t="s">
        <v>19</v>
      </c>
    </row>
    <row r="3" spans="1:3" x14ac:dyDescent="0.3">
      <c r="A3" s="13" t="s">
        <v>14</v>
      </c>
      <c r="B3" s="24" t="str">
        <f>Coefficients!A3</f>
        <v xml:space="preserve">I find exercise a pleasurable activity </v>
      </c>
      <c r="C3" s="47" t="s">
        <v>25</v>
      </c>
    </row>
    <row r="4" spans="1:3" x14ac:dyDescent="0.3">
      <c r="A4" s="13" t="s">
        <v>0</v>
      </c>
      <c r="B4" s="24" t="str">
        <f>Coefficients!A4</f>
        <v xml:space="preserve">I worry that I will be judged by other people </v>
      </c>
      <c r="C4" s="47" t="s">
        <v>24</v>
      </c>
    </row>
    <row r="5" spans="1:3" x14ac:dyDescent="0.3">
      <c r="A5" s="13" t="s">
        <v>1</v>
      </c>
      <c r="B5" s="24" t="str">
        <f>Coefficients!A5</f>
        <v xml:space="preserve">My life is busy enough as it is, I don’t have the luxury of time to spend getting active </v>
      </c>
      <c r="C5" s="47" t="s">
        <v>25</v>
      </c>
    </row>
    <row r="6" spans="1:3" x14ac:dyDescent="0.3">
      <c r="A6" s="13" t="s">
        <v>2</v>
      </c>
      <c r="B6" s="24" t="str">
        <f>Coefficients!A6</f>
        <v xml:space="preserve">I don’t see the point in exercising </v>
      </c>
      <c r="C6" s="47" t="s">
        <v>24</v>
      </c>
    </row>
    <row r="7" spans="1:3" x14ac:dyDescent="0.3">
      <c r="A7" s="13" t="s">
        <v>3</v>
      </c>
      <c r="B7" s="24" t="str">
        <f>Coefficients!A7</f>
        <v xml:space="preserve">I just don’t have the drive to get me active </v>
      </c>
      <c r="C7" s="47" t="s">
        <v>24</v>
      </c>
    </row>
    <row r="8" spans="1:3" x14ac:dyDescent="0.3">
      <c r="A8" s="13" t="s">
        <v>4</v>
      </c>
      <c r="B8" s="24" t="str">
        <f>Coefficients!A8</f>
        <v xml:space="preserve">I have the ability to be more active </v>
      </c>
      <c r="C8" s="47" t="s">
        <v>25</v>
      </c>
    </row>
    <row r="9" spans="1:3" x14ac:dyDescent="0.3">
      <c r="A9" s="13" t="s">
        <v>15</v>
      </c>
      <c r="B9" s="24" t="str">
        <f>Coefficients!A9</f>
        <v xml:space="preserve">Childcare or work logistics make it impossible </v>
      </c>
      <c r="C9" s="47" t="s">
        <v>25</v>
      </c>
    </row>
    <row r="10" spans="1:3" x14ac:dyDescent="0.3">
      <c r="A10" s="13" t="s">
        <v>5</v>
      </c>
      <c r="B10" s="24" t="str">
        <f>Coefficients!A10</f>
        <v xml:space="preserve">I’m a bit embarrassed about how unfit I am </v>
      </c>
      <c r="C10" s="47" t="s">
        <v>26</v>
      </c>
    </row>
    <row r="11" spans="1:3" x14ac:dyDescent="0.3">
      <c r="A11" s="13" t="s">
        <v>6</v>
      </c>
      <c r="B11" s="24" t="str">
        <f>Coefficients!A11</f>
        <v xml:space="preserve">I worry that I might get injured or experience pain </v>
      </c>
      <c r="C11" s="47" t="s">
        <v>26</v>
      </c>
    </row>
    <row r="12" spans="1:3" x14ac:dyDescent="0.3">
      <c r="A12" s="13" t="s">
        <v>7</v>
      </c>
      <c r="B12" s="24" t="str">
        <f>Coefficients!A12</f>
        <v xml:space="preserve">I used to enjoy sport/physical activity when I was much younger </v>
      </c>
      <c r="C12" s="47" t="s">
        <v>18</v>
      </c>
    </row>
    <row r="13" spans="1:3" x14ac:dyDescent="0.3">
      <c r="A13" s="13" t="s">
        <v>8</v>
      </c>
      <c r="B13" s="24" t="str">
        <f>Coefficients!A13</f>
        <v xml:space="preserve">The only physical activity I’m interested in doing is proper sports </v>
      </c>
      <c r="C13" s="47" t="s">
        <v>24</v>
      </c>
    </row>
    <row r="14" spans="1:3" x14ac:dyDescent="0.3">
      <c r="A14" s="13" t="s">
        <v>9</v>
      </c>
      <c r="B14" s="24" t="str">
        <f>Coefficients!A14</f>
        <v xml:space="preserve">I struggle to fit in proper exercise alongside work/family etc </v>
      </c>
      <c r="C14" s="47" t="s">
        <v>24</v>
      </c>
    </row>
    <row r="15" spans="1:3" x14ac:dyDescent="0.3">
      <c r="A15" s="13" t="s">
        <v>16</v>
      </c>
      <c r="B15" s="24" t="str">
        <f>Coefficients!A15</f>
        <v xml:space="preserve">I feel guilty when I don’t exercise </v>
      </c>
      <c r="C15" s="47" t="s">
        <v>24</v>
      </c>
    </row>
    <row r="16" spans="1:3" x14ac:dyDescent="0.3">
      <c r="A16" s="13" t="s">
        <v>10</v>
      </c>
      <c r="B16" s="24" t="str">
        <f>Coefficients!A16</f>
        <v xml:space="preserve">I always try to focus on looking forwards and don’t spend much time reflecting on what has already happened </v>
      </c>
      <c r="C16" s="47" t="s">
        <v>18</v>
      </c>
    </row>
    <row r="17" spans="1:9" x14ac:dyDescent="0.3">
      <c r="A17" s="13" t="s">
        <v>11</v>
      </c>
      <c r="B17" s="24" t="str">
        <f>Coefficients!A17</f>
        <v xml:space="preserve">I don’t know how to become more active </v>
      </c>
      <c r="C17" s="47" t="s">
        <v>25</v>
      </c>
    </row>
    <row r="18" spans="1:9" x14ac:dyDescent="0.3">
      <c r="A18" s="13" t="s">
        <v>17</v>
      </c>
      <c r="B18" s="24" t="str">
        <f>Coefficients!A18</f>
        <v xml:space="preserve">I can’t run / play sport like I used to </v>
      </c>
      <c r="C18" s="47" t="s">
        <v>57</v>
      </c>
    </row>
    <row r="19" spans="1:9" x14ac:dyDescent="0.3">
      <c r="A19" s="13" t="s">
        <v>12</v>
      </c>
      <c r="B19" s="24" t="str">
        <f>Coefficients!A19</f>
        <v xml:space="preserve">It’s just too much hassle to arrange and plan physical activity – I need to co-ordinate other areas of my life to make it happen </v>
      </c>
      <c r="C19" s="47" t="s">
        <v>18</v>
      </c>
    </row>
    <row r="20" spans="1:9" x14ac:dyDescent="0.3">
      <c r="A20" s="13" t="s">
        <v>13</v>
      </c>
      <c r="B20" s="24" t="str">
        <f>Coefficients!A20</f>
        <v>I’m motivated by the prospect of achieving ‘small victories’ when it comes to sport</v>
      </c>
      <c r="C20" s="47" t="s">
        <v>25</v>
      </c>
    </row>
    <row r="21" spans="1:9" x14ac:dyDescent="0.3">
      <c r="A21" s="13"/>
      <c r="B21" s="24"/>
      <c r="C21" s="48"/>
    </row>
    <row r="22" spans="1:9" ht="27.6" x14ac:dyDescent="0.3">
      <c r="A22" s="13"/>
      <c r="B22" s="43" t="s">
        <v>56</v>
      </c>
      <c r="C22" s="44">
        <v>2</v>
      </c>
    </row>
    <row r="23" spans="1:9" x14ac:dyDescent="0.3">
      <c r="B23"/>
    </row>
    <row r="24" spans="1:9" x14ac:dyDescent="0.3">
      <c r="B24"/>
    </row>
    <row r="25" spans="1:9" ht="15.6" x14ac:dyDescent="0.3">
      <c r="B25" s="29" t="s">
        <v>62</v>
      </c>
      <c r="C25" s="30" t="str">
        <f>Coefficients!K32</f>
        <v>Inconsistently involved</v>
      </c>
      <c r="I25" s="2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Coefficients!$B$26:$B$30</xm:f>
          </x14:formula1>
          <xm:sqref>C21</xm:sqref>
        </x14:dataValidation>
        <x14:dataValidation type="list" allowBlank="1" showInputMessage="1" showErrorMessage="1" xr:uid="{E8C2482A-880B-4B6B-B2EA-7C07E1CF6DF0}">
          <x14:formula1>
            <xm:f>Coefficients!$B$31:$B$42</xm:f>
          </x14:formula1>
          <xm:sqref>C22</xm:sqref>
        </x14:dataValidation>
        <x14:dataValidation type="list" allowBlank="1" showInputMessage="1" showErrorMessage="1" xr:uid="{AD0D777A-2D8F-4F06-9E7B-A97708FAAD9F}">
          <x14:formula1>
            <xm:f>Coefficients!$B$25:$B$30</xm:f>
          </x14:formula1>
          <xm:sqref>C3:C20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topLeftCell="C18" workbookViewId="0">
      <selection activeCell="K32" sqref="K32"/>
    </sheetView>
  </sheetViews>
  <sheetFormatPr defaultRowHeight="14.4" x14ac:dyDescent="0.3"/>
  <cols>
    <col min="1" max="1" width="64.88671875" customWidth="1"/>
    <col min="2" max="2" width="20.6640625" customWidth="1"/>
    <col min="12" max="12" width="12" bestFit="1" customWidth="1"/>
    <col min="19" max="19" width="12" bestFit="1" customWidth="1"/>
  </cols>
  <sheetData>
    <row r="1" spans="1:18" ht="15" thickBot="1" x14ac:dyDescent="0.35">
      <c r="A1" s="1" t="s">
        <v>20</v>
      </c>
      <c r="B1" s="2" t="s">
        <v>21</v>
      </c>
      <c r="C1" s="3"/>
      <c r="D1" s="3"/>
      <c r="E1" s="3"/>
      <c r="F1" s="3"/>
      <c r="G1" s="3"/>
    </row>
    <row r="2" spans="1:18" ht="15" thickTop="1" x14ac:dyDescent="0.3">
      <c r="A2" s="4"/>
      <c r="B2" s="5" t="s">
        <v>29</v>
      </c>
      <c r="C2" s="6" t="s">
        <v>30</v>
      </c>
      <c r="D2" s="6" t="s">
        <v>31</v>
      </c>
      <c r="E2" s="7" t="s">
        <v>32</v>
      </c>
      <c r="F2" s="7" t="s">
        <v>33</v>
      </c>
      <c r="G2" s="6" t="s">
        <v>34</v>
      </c>
      <c r="H2" t="s">
        <v>35</v>
      </c>
    </row>
    <row r="3" spans="1:18" x14ac:dyDescent="0.3">
      <c r="A3" s="8" t="s">
        <v>36</v>
      </c>
      <c r="B3" s="9">
        <v>0.61853051522691316</v>
      </c>
      <c r="C3" s="10">
        <v>1.8378628922907112</v>
      </c>
      <c r="D3" s="10">
        <v>3.0038138306936579</v>
      </c>
      <c r="E3" s="10">
        <v>2.3854756087369435</v>
      </c>
      <c r="F3" s="10">
        <v>1.3895859779238569</v>
      </c>
      <c r="G3" s="10">
        <v>1.9412900120863668</v>
      </c>
      <c r="H3">
        <v>1.9562371649563992</v>
      </c>
      <c r="I3">
        <f>VLOOKUP('Answer Sheet'!C3,Coefficients!$B$25:$C$30,2,FALSE)</f>
        <v>4</v>
      </c>
      <c r="J3">
        <f>IF(I3&gt;0,1,0)</f>
        <v>1</v>
      </c>
      <c r="L3">
        <f t="shared" ref="L3:L22" si="0">B3*$I3</f>
        <v>2.4741220609076526</v>
      </c>
      <c r="M3">
        <f t="shared" ref="M3:M22" si="1">C3*$I3</f>
        <v>7.3514515691628448</v>
      </c>
      <c r="N3">
        <f t="shared" ref="N3:N22" si="2">D3*$I3</f>
        <v>12.015255322774632</v>
      </c>
      <c r="O3">
        <f t="shared" ref="O3:O22" si="3">E3*$I3</f>
        <v>9.5419024349477741</v>
      </c>
      <c r="P3">
        <f t="shared" ref="P3:P22" si="4">F3*$I3</f>
        <v>5.5583439116954274</v>
      </c>
      <c r="Q3">
        <f t="shared" ref="Q3:Q21" si="5">G3*$I3</f>
        <v>7.765160048345467</v>
      </c>
      <c r="R3">
        <f t="shared" ref="R3:R21" si="6">H3*$I3</f>
        <v>7.8249486598255968</v>
      </c>
    </row>
    <row r="4" spans="1:18" x14ac:dyDescent="0.3">
      <c r="A4" s="8" t="s">
        <v>37</v>
      </c>
      <c r="B4" s="9">
        <v>0.63658417407665091</v>
      </c>
      <c r="C4" s="10">
        <v>0.47697792977967524</v>
      </c>
      <c r="D4" s="11">
        <v>-0.33511200507645722</v>
      </c>
      <c r="E4" s="10">
        <v>-0.69458925719069464</v>
      </c>
      <c r="F4" s="10">
        <v>-0.26655883452996326</v>
      </c>
      <c r="G4" s="10">
        <v>0.24626713248366006</v>
      </c>
      <c r="H4">
        <v>-9.2063090192311264E-2</v>
      </c>
      <c r="I4">
        <f>VLOOKUP('Answer Sheet'!C4,Coefficients!$B$25:$C$30,2,FALSE)</f>
        <v>2</v>
      </c>
      <c r="J4">
        <f t="shared" ref="J4:J20" si="7">IF(I4&gt;0,1,0)</f>
        <v>1</v>
      </c>
      <c r="L4">
        <f t="shared" si="0"/>
        <v>1.2731683481533018</v>
      </c>
      <c r="M4">
        <f t="shared" si="1"/>
        <v>0.95395585955935047</v>
      </c>
      <c r="N4">
        <f t="shared" si="2"/>
        <v>-0.67022401015291444</v>
      </c>
      <c r="O4">
        <f t="shared" si="3"/>
        <v>-1.3891785143813893</v>
      </c>
      <c r="P4">
        <f t="shared" si="4"/>
        <v>-0.53311766905992652</v>
      </c>
      <c r="Q4">
        <f t="shared" si="5"/>
        <v>0.49253426496732011</v>
      </c>
      <c r="R4">
        <f t="shared" si="6"/>
        <v>-0.18412618038462253</v>
      </c>
    </row>
    <row r="5" spans="1:18" x14ac:dyDescent="0.3">
      <c r="A5" s="8" t="s">
        <v>38</v>
      </c>
      <c r="B5" s="9">
        <v>0.99655749790205972</v>
      </c>
      <c r="C5" s="10">
        <v>0.50256807742164866</v>
      </c>
      <c r="D5" s="10">
        <v>0.53015354432530015</v>
      </c>
      <c r="E5" s="10">
        <v>1.4616161471604676</v>
      </c>
      <c r="F5" s="11">
        <v>1.0781610470325891</v>
      </c>
      <c r="G5" s="10">
        <v>0.88733395266870307</v>
      </c>
      <c r="H5">
        <v>0.47243416820988726</v>
      </c>
      <c r="I5">
        <f>VLOOKUP('Answer Sheet'!C5,Coefficients!$B$25:$C$30,2,FALSE)</f>
        <v>4</v>
      </c>
      <c r="J5">
        <f t="shared" si="7"/>
        <v>1</v>
      </c>
      <c r="L5">
        <f t="shared" si="0"/>
        <v>3.9862299916082389</v>
      </c>
      <c r="M5">
        <f t="shared" si="1"/>
        <v>2.0102723096865946</v>
      </c>
      <c r="N5">
        <f t="shared" si="2"/>
        <v>2.1206141773012006</v>
      </c>
      <c r="O5">
        <f t="shared" si="3"/>
        <v>5.8464645886418705</v>
      </c>
      <c r="P5">
        <f t="shared" si="4"/>
        <v>4.3126441881303563</v>
      </c>
      <c r="Q5">
        <f t="shared" si="5"/>
        <v>3.5493358106748123</v>
      </c>
      <c r="R5">
        <f t="shared" si="6"/>
        <v>1.889736672839549</v>
      </c>
    </row>
    <row r="6" spans="1:18" x14ac:dyDescent="0.3">
      <c r="A6" s="8" t="s">
        <v>39</v>
      </c>
      <c r="B6" s="12">
        <v>3.5094847348257763</v>
      </c>
      <c r="C6" s="11">
        <v>2.4287051240044391</v>
      </c>
      <c r="D6" s="11">
        <v>2.3729038098463069</v>
      </c>
      <c r="E6" s="11">
        <v>2.0973917771729753</v>
      </c>
      <c r="F6" s="11">
        <v>3.9912762580630448</v>
      </c>
      <c r="G6" s="11">
        <v>3.3408712843822301</v>
      </c>
      <c r="H6">
        <v>2.5137480484548522</v>
      </c>
      <c r="I6">
        <f>VLOOKUP('Answer Sheet'!C6,Coefficients!$B$25:$C$30,2,FALSE)</f>
        <v>2</v>
      </c>
      <c r="J6">
        <f t="shared" si="7"/>
        <v>1</v>
      </c>
      <c r="K6">
        <f>IF(I6&gt;3,1,0)</f>
        <v>0</v>
      </c>
      <c r="L6">
        <f t="shared" si="0"/>
        <v>7.0189694696515526</v>
      </c>
      <c r="M6">
        <f t="shared" si="1"/>
        <v>4.8574102480088781</v>
      </c>
      <c r="N6">
        <f t="shared" si="2"/>
        <v>4.7458076196926138</v>
      </c>
      <c r="O6">
        <f t="shared" si="3"/>
        <v>4.1947835543459506</v>
      </c>
      <c r="P6">
        <f t="shared" si="4"/>
        <v>7.9825525161260895</v>
      </c>
      <c r="Q6">
        <f t="shared" si="5"/>
        <v>6.6817425687644603</v>
      </c>
      <c r="R6">
        <f t="shared" si="6"/>
        <v>5.0274960969097044</v>
      </c>
    </row>
    <row r="7" spans="1:18" x14ac:dyDescent="0.3">
      <c r="A7" s="8" t="s">
        <v>40</v>
      </c>
      <c r="B7" s="9">
        <v>2.7343836997817541</v>
      </c>
      <c r="C7" s="10">
        <v>2.7757584061989005</v>
      </c>
      <c r="D7" s="10">
        <v>1.137938688507302</v>
      </c>
      <c r="E7" s="10">
        <v>2.1470907418291567</v>
      </c>
      <c r="F7" s="10">
        <v>2.6640338807238448</v>
      </c>
      <c r="G7" s="10">
        <v>1.9238767960556959</v>
      </c>
      <c r="H7">
        <v>2.1137039360909897</v>
      </c>
      <c r="I7">
        <f>VLOOKUP('Answer Sheet'!C7,Coefficients!$B$25:$C$30,2,FALSE)</f>
        <v>2</v>
      </c>
      <c r="J7">
        <f t="shared" si="7"/>
        <v>1</v>
      </c>
      <c r="L7">
        <f t="shared" si="0"/>
        <v>5.4687673995635082</v>
      </c>
      <c r="M7">
        <f t="shared" si="1"/>
        <v>5.5515168123978009</v>
      </c>
      <c r="N7">
        <f t="shared" si="2"/>
        <v>2.2758773770146039</v>
      </c>
      <c r="O7">
        <f t="shared" si="3"/>
        <v>4.2941814836583134</v>
      </c>
      <c r="P7">
        <f t="shared" si="4"/>
        <v>5.3280677614476897</v>
      </c>
      <c r="Q7">
        <f t="shared" si="5"/>
        <v>3.8477535921113919</v>
      </c>
      <c r="R7">
        <f t="shared" si="6"/>
        <v>4.2274078721819794</v>
      </c>
    </row>
    <row r="8" spans="1:18" x14ac:dyDescent="0.3">
      <c r="A8" s="8" t="s">
        <v>41</v>
      </c>
      <c r="B8" s="12">
        <v>2.1685368529899502</v>
      </c>
      <c r="C8" s="11">
        <v>3.3240769858245813</v>
      </c>
      <c r="D8" s="11">
        <v>3.8784576857452855</v>
      </c>
      <c r="E8" s="11">
        <v>3.1542998446447403</v>
      </c>
      <c r="F8" s="11">
        <v>3.2302414906820092</v>
      </c>
      <c r="G8" s="11">
        <v>2.6795451520161153</v>
      </c>
      <c r="H8">
        <v>2.580219544074422</v>
      </c>
      <c r="I8">
        <f>VLOOKUP('Answer Sheet'!C8,Coefficients!$B$25:$C$30,2,FALSE)</f>
        <v>4</v>
      </c>
      <c r="J8">
        <f t="shared" si="7"/>
        <v>1</v>
      </c>
      <c r="L8">
        <f t="shared" si="0"/>
        <v>8.674147411959801</v>
      </c>
      <c r="M8">
        <f t="shared" si="1"/>
        <v>13.296307943298325</v>
      </c>
      <c r="N8">
        <f t="shared" si="2"/>
        <v>15.513830742981142</v>
      </c>
      <c r="O8">
        <f t="shared" si="3"/>
        <v>12.617199378578961</v>
      </c>
      <c r="P8">
        <f t="shared" si="4"/>
        <v>12.920965962728037</v>
      </c>
      <c r="Q8">
        <f t="shared" si="5"/>
        <v>10.718180608064461</v>
      </c>
      <c r="R8">
        <f t="shared" si="6"/>
        <v>10.320878176297688</v>
      </c>
    </row>
    <row r="9" spans="1:18" x14ac:dyDescent="0.3">
      <c r="A9" s="8" t="s">
        <v>42</v>
      </c>
      <c r="B9" s="12">
        <v>-5.8895051611054607E-2</v>
      </c>
      <c r="C9" s="11">
        <v>-4.0615545800640633E-2</v>
      </c>
      <c r="D9" s="11">
        <v>7.3821702270638195E-2</v>
      </c>
      <c r="E9" s="11">
        <v>0.82846232665352948</v>
      </c>
      <c r="F9" s="11">
        <v>-0.12479906590350179</v>
      </c>
      <c r="G9" s="11">
        <v>0.64634111887233681</v>
      </c>
      <c r="H9">
        <v>-0.28459475127429262</v>
      </c>
      <c r="I9">
        <f>VLOOKUP('Answer Sheet'!C9,Coefficients!$B$25:$C$30,2,FALSE)</f>
        <v>4</v>
      </c>
      <c r="J9">
        <f t="shared" si="7"/>
        <v>1</v>
      </c>
      <c r="K9">
        <f>IF(I9&gt;3,1,0)</f>
        <v>1</v>
      </c>
      <c r="L9">
        <f t="shared" si="0"/>
        <v>-0.23558020644421843</v>
      </c>
      <c r="M9">
        <f t="shared" si="1"/>
        <v>-0.16246218320256253</v>
      </c>
      <c r="N9">
        <f t="shared" si="2"/>
        <v>0.29528680908255278</v>
      </c>
      <c r="O9">
        <f t="shared" si="3"/>
        <v>3.3138493066141179</v>
      </c>
      <c r="P9">
        <f t="shared" si="4"/>
        <v>-0.49919626361400715</v>
      </c>
      <c r="Q9">
        <f t="shared" si="5"/>
        <v>2.5853644754893472</v>
      </c>
      <c r="R9">
        <f t="shared" si="6"/>
        <v>-1.1383790050971705</v>
      </c>
    </row>
    <row r="10" spans="1:18" x14ac:dyDescent="0.3">
      <c r="A10" s="8" t="s">
        <v>43</v>
      </c>
      <c r="B10" s="12">
        <v>1.1830022263693274</v>
      </c>
      <c r="C10" s="11">
        <v>1.0494189246397241</v>
      </c>
      <c r="D10" s="11">
        <v>0.12550260213454301</v>
      </c>
      <c r="E10" s="11">
        <v>0.34435828908703758</v>
      </c>
      <c r="F10" s="11">
        <v>0.13872515060317925</v>
      </c>
      <c r="G10" s="11">
        <v>0.77479326272018545</v>
      </c>
      <c r="H10">
        <v>1.1931427022678858</v>
      </c>
      <c r="I10">
        <f>VLOOKUP('Answer Sheet'!C10,Coefficients!$B$25:$C$30,2,FALSE)</f>
        <v>5</v>
      </c>
      <c r="J10">
        <f t="shared" si="7"/>
        <v>1</v>
      </c>
      <c r="L10">
        <f t="shared" si="0"/>
        <v>5.9150111318466365</v>
      </c>
      <c r="M10">
        <f t="shared" si="1"/>
        <v>5.2470946231986204</v>
      </c>
      <c r="N10">
        <f t="shared" si="2"/>
        <v>0.62751301067271503</v>
      </c>
      <c r="O10">
        <f t="shared" si="3"/>
        <v>1.7217914454351879</v>
      </c>
      <c r="P10">
        <f t="shared" si="4"/>
        <v>0.69362575301589624</v>
      </c>
      <c r="Q10">
        <f t="shared" si="5"/>
        <v>3.8739663136009272</v>
      </c>
      <c r="R10">
        <f t="shared" si="6"/>
        <v>5.9657135113394286</v>
      </c>
    </row>
    <row r="11" spans="1:18" x14ac:dyDescent="0.3">
      <c r="A11" s="8" t="s">
        <v>44</v>
      </c>
      <c r="B11" s="12">
        <v>1.4951423306715548</v>
      </c>
      <c r="C11" s="11">
        <v>0.78534819484901019</v>
      </c>
      <c r="D11" s="11">
        <v>0.56394221023080227</v>
      </c>
      <c r="E11" s="11">
        <v>0.44581598422674762</v>
      </c>
      <c r="F11" s="11">
        <v>0.97986448938202431</v>
      </c>
      <c r="G11" s="11">
        <v>1.2748377901592889</v>
      </c>
      <c r="H11">
        <v>1.4779995600887226</v>
      </c>
      <c r="I11">
        <f>VLOOKUP('Answer Sheet'!C11,Coefficients!$B$25:$C$30,2,FALSE)</f>
        <v>5</v>
      </c>
      <c r="J11">
        <f t="shared" si="7"/>
        <v>1</v>
      </c>
      <c r="L11">
        <f t="shared" si="0"/>
        <v>7.4757116533577737</v>
      </c>
      <c r="M11">
        <f t="shared" si="1"/>
        <v>3.926740974245051</v>
      </c>
      <c r="N11">
        <f t="shared" si="2"/>
        <v>2.8197110511540115</v>
      </c>
      <c r="O11">
        <f t="shared" si="3"/>
        <v>2.2290799211337382</v>
      </c>
      <c r="P11">
        <f t="shared" si="4"/>
        <v>4.8993224469101211</v>
      </c>
      <c r="Q11">
        <f t="shared" si="5"/>
        <v>6.3741889507964444</v>
      </c>
      <c r="R11">
        <f t="shared" si="6"/>
        <v>7.3899978004436129</v>
      </c>
    </row>
    <row r="12" spans="1:18" x14ac:dyDescent="0.3">
      <c r="A12" s="8" t="s">
        <v>45</v>
      </c>
      <c r="B12" s="9">
        <v>0.30162625710987312</v>
      </c>
      <c r="C12" s="10">
        <v>0.50983234412417655</v>
      </c>
      <c r="D12" s="10">
        <v>1.3358496118103591</v>
      </c>
      <c r="E12" s="11">
        <v>1.0442054715790163</v>
      </c>
      <c r="F12" s="11">
        <v>0.72123151492407067</v>
      </c>
      <c r="G12" s="11">
        <v>0.71409876715782872</v>
      </c>
      <c r="H12">
        <v>1.3670756497506262</v>
      </c>
      <c r="I12">
        <f>VLOOKUP('Answer Sheet'!C12,Coefficients!$B$25:$C$30,2,FALSE)</f>
        <v>3</v>
      </c>
      <c r="J12">
        <f t="shared" si="7"/>
        <v>1</v>
      </c>
      <c r="L12">
        <f t="shared" si="0"/>
        <v>0.90487877132961936</v>
      </c>
      <c r="M12">
        <f t="shared" si="1"/>
        <v>1.5294970323725297</v>
      </c>
      <c r="N12">
        <f t="shared" si="2"/>
        <v>4.0075488354310771</v>
      </c>
      <c r="O12">
        <f t="shared" si="3"/>
        <v>3.1326164147370488</v>
      </c>
      <c r="P12">
        <f t="shared" si="4"/>
        <v>2.1636945447722118</v>
      </c>
      <c r="Q12">
        <f t="shared" si="5"/>
        <v>2.1422963014734862</v>
      </c>
      <c r="R12">
        <f t="shared" si="6"/>
        <v>4.1012269492518785</v>
      </c>
    </row>
    <row r="13" spans="1:18" x14ac:dyDescent="0.3">
      <c r="A13" s="8" t="s">
        <v>46</v>
      </c>
      <c r="B13" s="12">
        <v>-7.2477681227345381E-2</v>
      </c>
      <c r="C13" s="10">
        <v>-3.5723605947270302E-2</v>
      </c>
      <c r="D13" s="10">
        <v>-0.16591597532116334</v>
      </c>
      <c r="E13" s="10">
        <v>-0.14369896888762348</v>
      </c>
      <c r="F13" s="10">
        <v>-0.31074637584901754</v>
      </c>
      <c r="G13" s="10">
        <v>0.86345443170569247</v>
      </c>
      <c r="H13">
        <v>-0.1807289958569987</v>
      </c>
      <c r="I13">
        <f>VLOOKUP('Answer Sheet'!C13,Coefficients!$B$25:$C$30,2,FALSE)</f>
        <v>2</v>
      </c>
      <c r="J13">
        <f t="shared" si="7"/>
        <v>1</v>
      </c>
      <c r="L13">
        <f t="shared" si="0"/>
        <v>-0.14495536245469076</v>
      </c>
      <c r="M13">
        <f t="shared" si="1"/>
        <v>-7.1447211894540605E-2</v>
      </c>
      <c r="N13">
        <f t="shared" si="2"/>
        <v>-0.33183195064232668</v>
      </c>
      <c r="O13">
        <f t="shared" si="3"/>
        <v>-0.28739793777524697</v>
      </c>
      <c r="P13">
        <f t="shared" si="4"/>
        <v>-0.62149275169803508</v>
      </c>
      <c r="Q13">
        <f t="shared" si="5"/>
        <v>1.7269088634113849</v>
      </c>
      <c r="R13">
        <f t="shared" si="6"/>
        <v>-0.3614579917139974</v>
      </c>
    </row>
    <row r="14" spans="1:18" x14ac:dyDescent="0.3">
      <c r="A14" s="8" t="s">
        <v>47</v>
      </c>
      <c r="B14" s="9">
        <v>0.34031655576618713</v>
      </c>
      <c r="C14" s="11">
        <v>0.55047181037683179</v>
      </c>
      <c r="D14" s="10">
        <v>0.13977941631578383</v>
      </c>
      <c r="E14" s="11">
        <v>1.134139658615255</v>
      </c>
      <c r="F14" s="10">
        <v>5.5078952238594658E-2</v>
      </c>
      <c r="G14" s="10">
        <v>0.31414485350724503</v>
      </c>
      <c r="H14">
        <v>-0.17823490805860343</v>
      </c>
      <c r="I14">
        <f>VLOOKUP('Answer Sheet'!C14,Coefficients!$B$25:$C$30,2,FALSE)</f>
        <v>2</v>
      </c>
      <c r="J14">
        <f t="shared" si="7"/>
        <v>1</v>
      </c>
      <c r="L14">
        <f t="shared" si="0"/>
        <v>0.68063311153237427</v>
      </c>
      <c r="M14">
        <f t="shared" si="1"/>
        <v>1.1009436207536636</v>
      </c>
      <c r="N14">
        <f t="shared" si="2"/>
        <v>0.27955883263156767</v>
      </c>
      <c r="O14">
        <f t="shared" si="3"/>
        <v>2.26827931723051</v>
      </c>
      <c r="P14">
        <f t="shared" si="4"/>
        <v>0.11015790447718932</v>
      </c>
      <c r="Q14">
        <f t="shared" si="5"/>
        <v>0.62828970701449005</v>
      </c>
      <c r="R14">
        <f t="shared" si="6"/>
        <v>-0.35646981611720685</v>
      </c>
    </row>
    <row r="15" spans="1:18" x14ac:dyDescent="0.3">
      <c r="A15" s="8" t="s">
        <v>48</v>
      </c>
      <c r="B15" s="12">
        <v>1.3002919042195797</v>
      </c>
      <c r="C15" s="11">
        <v>1.989869952991512</v>
      </c>
      <c r="D15" s="11">
        <v>1.6624802496321522</v>
      </c>
      <c r="E15" s="11">
        <v>1.4167321976994818</v>
      </c>
      <c r="F15" s="10">
        <v>0.86707493883197884</v>
      </c>
      <c r="G15" s="11">
        <v>1.5226396730204788</v>
      </c>
      <c r="H15">
        <v>1.6861924312419909</v>
      </c>
      <c r="I15">
        <f>VLOOKUP('Answer Sheet'!C15,Coefficients!$B$25:$C$30,2,FALSE)</f>
        <v>2</v>
      </c>
      <c r="J15">
        <f t="shared" si="7"/>
        <v>1</v>
      </c>
      <c r="L15">
        <f t="shared" si="0"/>
        <v>2.6005838084391595</v>
      </c>
      <c r="M15">
        <f t="shared" si="1"/>
        <v>3.9797399059830241</v>
      </c>
      <c r="N15">
        <f t="shared" si="2"/>
        <v>3.3249604992643045</v>
      </c>
      <c r="O15">
        <f t="shared" si="3"/>
        <v>2.8334643953989636</v>
      </c>
      <c r="P15">
        <f t="shared" si="4"/>
        <v>1.7341498776639577</v>
      </c>
      <c r="Q15">
        <f t="shared" si="5"/>
        <v>3.0452793460409575</v>
      </c>
      <c r="R15">
        <f t="shared" si="6"/>
        <v>3.3723848624839818</v>
      </c>
    </row>
    <row r="16" spans="1:18" x14ac:dyDescent="0.3">
      <c r="A16" s="8" t="s">
        <v>49</v>
      </c>
      <c r="B16" s="9">
        <v>1.2274819914576136</v>
      </c>
      <c r="C16" s="11">
        <v>1.5534516632324276</v>
      </c>
      <c r="D16" s="11">
        <v>2.6453577181098971</v>
      </c>
      <c r="E16" s="11">
        <v>1.9968124575329</v>
      </c>
      <c r="F16" s="10">
        <v>2.2072507600262452</v>
      </c>
      <c r="G16" s="11">
        <v>1.8816828003217483</v>
      </c>
      <c r="H16">
        <v>1.771604972109738</v>
      </c>
      <c r="I16">
        <f>VLOOKUP('Answer Sheet'!C16,Coefficients!$B$25:$C$30,2,FALSE)</f>
        <v>3</v>
      </c>
      <c r="J16">
        <f t="shared" si="7"/>
        <v>1</v>
      </c>
      <c r="L16">
        <f t="shared" si="0"/>
        <v>3.6824459743728406</v>
      </c>
      <c r="M16">
        <f t="shared" si="1"/>
        <v>4.6603549896972822</v>
      </c>
      <c r="N16">
        <f t="shared" si="2"/>
        <v>7.9360731543296907</v>
      </c>
      <c r="O16">
        <f t="shared" si="3"/>
        <v>5.9904373725987003</v>
      </c>
      <c r="P16">
        <f t="shared" si="4"/>
        <v>6.6217522800787361</v>
      </c>
      <c r="Q16">
        <f t="shared" si="5"/>
        <v>5.6450484009652451</v>
      </c>
      <c r="R16">
        <f t="shared" si="6"/>
        <v>5.3148149163292135</v>
      </c>
    </row>
    <row r="17" spans="1:21" x14ac:dyDescent="0.3">
      <c r="A17" s="8" t="s">
        <v>50</v>
      </c>
      <c r="B17" s="12">
        <v>0.83029775682626972</v>
      </c>
      <c r="C17" s="10">
        <v>-0.24637471867029426</v>
      </c>
      <c r="D17" s="10">
        <v>-0.4885685933411047</v>
      </c>
      <c r="E17" s="10">
        <v>-0.50168628777010382</v>
      </c>
      <c r="F17" s="10">
        <v>1.8983738472429589E-2</v>
      </c>
      <c r="G17" s="10">
        <v>0.43960775368052907</v>
      </c>
      <c r="H17">
        <v>0.27205144306200124</v>
      </c>
      <c r="I17">
        <f>VLOOKUP('Answer Sheet'!C17,Coefficients!$B$25:$C$30,2,FALSE)</f>
        <v>4</v>
      </c>
      <c r="J17">
        <f t="shared" si="7"/>
        <v>1</v>
      </c>
      <c r="K17">
        <f>IF(I17&gt;3,1,0)</f>
        <v>1</v>
      </c>
      <c r="L17">
        <f t="shared" si="0"/>
        <v>3.3211910273050789</v>
      </c>
      <c r="M17">
        <f t="shared" si="1"/>
        <v>-0.98549887468117703</v>
      </c>
      <c r="N17">
        <f t="shared" si="2"/>
        <v>-1.9542743733644188</v>
      </c>
      <c r="O17">
        <f t="shared" si="3"/>
        <v>-2.0067451510804153</v>
      </c>
      <c r="P17">
        <f t="shared" si="4"/>
        <v>7.5934953889718354E-2</v>
      </c>
      <c r="Q17">
        <f t="shared" si="5"/>
        <v>1.7584310147221163</v>
      </c>
      <c r="R17">
        <f t="shared" si="6"/>
        <v>1.088205772248005</v>
      </c>
    </row>
    <row r="18" spans="1:21" x14ac:dyDescent="0.3">
      <c r="A18" s="8" t="s">
        <v>51</v>
      </c>
      <c r="B18" s="12">
        <v>2.2584178009287941</v>
      </c>
      <c r="C18" s="11">
        <v>1.922820881516665</v>
      </c>
      <c r="D18" s="11">
        <v>1.7022548374091513</v>
      </c>
      <c r="E18" s="11">
        <v>1.6063717052780973</v>
      </c>
      <c r="F18" s="11">
        <v>2.3259034199419637</v>
      </c>
      <c r="G18" s="11">
        <v>1.5700482173194072</v>
      </c>
      <c r="H18">
        <v>2.5002418586322599</v>
      </c>
      <c r="I18">
        <f>VLOOKUP('Answer Sheet'!C18,Coefficients!$B$25:$C$30,2,FALSE)</f>
        <v>1</v>
      </c>
      <c r="J18">
        <f t="shared" si="7"/>
        <v>1</v>
      </c>
      <c r="K18">
        <f>IF(I18&lt;3,1,0)</f>
        <v>1</v>
      </c>
      <c r="L18">
        <f t="shared" si="0"/>
        <v>2.2584178009287941</v>
      </c>
      <c r="M18">
        <f t="shared" si="1"/>
        <v>1.922820881516665</v>
      </c>
      <c r="N18">
        <f t="shared" si="2"/>
        <v>1.7022548374091513</v>
      </c>
      <c r="O18">
        <f t="shared" si="3"/>
        <v>1.6063717052780973</v>
      </c>
      <c r="P18">
        <f t="shared" si="4"/>
        <v>2.3259034199419637</v>
      </c>
      <c r="Q18">
        <f t="shared" si="5"/>
        <v>1.5700482173194072</v>
      </c>
      <c r="R18">
        <f t="shared" si="6"/>
        <v>2.5002418586322599</v>
      </c>
      <c r="T18" s="37" t="s">
        <v>29</v>
      </c>
      <c r="U18">
        <v>1</v>
      </c>
    </row>
    <row r="19" spans="1:21" x14ac:dyDescent="0.3">
      <c r="A19" s="8" t="s">
        <v>52</v>
      </c>
      <c r="B19" s="12">
        <v>1.4469445785380564</v>
      </c>
      <c r="C19" s="11">
        <v>1.0856590590113608</v>
      </c>
      <c r="D19" s="11">
        <v>0.33024278459100681</v>
      </c>
      <c r="E19" s="11">
        <v>1.5028613759097862</v>
      </c>
      <c r="F19" s="11">
        <v>1.3983486985156517</v>
      </c>
      <c r="G19" s="11">
        <v>0.91957106975728431</v>
      </c>
      <c r="H19">
        <v>0.60601058070085101</v>
      </c>
      <c r="I19">
        <f>VLOOKUP('Answer Sheet'!C19,Coefficients!$B$25:$C$30,2,FALSE)</f>
        <v>3</v>
      </c>
      <c r="J19">
        <f t="shared" si="7"/>
        <v>1</v>
      </c>
      <c r="L19">
        <f t="shared" si="0"/>
        <v>4.3408337356141686</v>
      </c>
      <c r="M19">
        <f t="shared" si="1"/>
        <v>3.2569771770340825</v>
      </c>
      <c r="N19">
        <f t="shared" si="2"/>
        <v>0.99072835377302049</v>
      </c>
      <c r="O19">
        <f t="shared" si="3"/>
        <v>4.5085841277293586</v>
      </c>
      <c r="P19">
        <f t="shared" si="4"/>
        <v>4.1950460955469548</v>
      </c>
      <c r="Q19">
        <f t="shared" si="5"/>
        <v>2.7587132092718529</v>
      </c>
      <c r="R19">
        <f t="shared" si="6"/>
        <v>1.8180317421025531</v>
      </c>
      <c r="T19" s="37" t="s">
        <v>30</v>
      </c>
      <c r="U19">
        <v>2</v>
      </c>
    </row>
    <row r="20" spans="1:21" x14ac:dyDescent="0.3">
      <c r="A20" s="8" t="s">
        <v>53</v>
      </c>
      <c r="B20" s="12">
        <v>0.92518329081234552</v>
      </c>
      <c r="C20" s="11">
        <v>1.4898656773102523</v>
      </c>
      <c r="D20" s="11">
        <v>2.1200819671606923</v>
      </c>
      <c r="E20" s="11">
        <v>2.0856775435629005</v>
      </c>
      <c r="F20" s="11">
        <v>0.92628067073851772</v>
      </c>
      <c r="G20" s="11">
        <v>1.634417890442369</v>
      </c>
      <c r="H20">
        <v>1.4624693645913334</v>
      </c>
      <c r="I20">
        <f>VLOOKUP('Answer Sheet'!C20,Coefficients!$B$25:$C$30,2,FALSE)</f>
        <v>4</v>
      </c>
      <c r="J20">
        <f t="shared" si="7"/>
        <v>1</v>
      </c>
      <c r="L20">
        <f t="shared" si="0"/>
        <v>3.7007331632493821</v>
      </c>
      <c r="M20">
        <f t="shared" si="1"/>
        <v>5.9594627092410093</v>
      </c>
      <c r="N20">
        <f t="shared" si="2"/>
        <v>8.4803278686427692</v>
      </c>
      <c r="O20">
        <f t="shared" si="3"/>
        <v>8.3427101742516019</v>
      </c>
      <c r="P20">
        <f t="shared" si="4"/>
        <v>3.7051226829540709</v>
      </c>
      <c r="Q20">
        <f t="shared" si="5"/>
        <v>6.5376715617694758</v>
      </c>
      <c r="R20">
        <f t="shared" si="6"/>
        <v>5.8498774583653335</v>
      </c>
      <c r="T20" s="37" t="s">
        <v>31</v>
      </c>
      <c r="U20">
        <v>3</v>
      </c>
    </row>
    <row r="21" spans="1:21" x14ac:dyDescent="0.3">
      <c r="A21" s="32" t="s">
        <v>54</v>
      </c>
      <c r="B21" s="33">
        <v>0.91322377711701663</v>
      </c>
      <c r="C21" s="34">
        <v>1.0686746585286653</v>
      </c>
      <c r="D21" s="34">
        <v>1.0096694395657031</v>
      </c>
      <c r="E21" s="34">
        <v>1.027822436191808</v>
      </c>
      <c r="F21" s="34">
        <v>1.1156131420362718</v>
      </c>
      <c r="G21" s="35">
        <v>1.1030355624070272</v>
      </c>
      <c r="H21">
        <v>0.88857030585436658</v>
      </c>
      <c r="I21" s="26">
        <f>VLOOKUP('Answer Sheet'!C22,$B$31:$C$42,2,0)</f>
        <v>2</v>
      </c>
      <c r="J21">
        <f>IF(I21&gt;-1,1,0)</f>
        <v>1</v>
      </c>
      <c r="L21">
        <f t="shared" si="0"/>
        <v>1.8264475542340333</v>
      </c>
      <c r="M21">
        <f t="shared" si="1"/>
        <v>2.1373493170573306</v>
      </c>
      <c r="N21">
        <f t="shared" si="2"/>
        <v>2.0193388791314062</v>
      </c>
      <c r="O21">
        <f t="shared" si="3"/>
        <v>2.055644872383616</v>
      </c>
      <c r="P21">
        <f t="shared" si="4"/>
        <v>2.2312262840725436</v>
      </c>
      <c r="Q21">
        <f t="shared" si="5"/>
        <v>2.2060711248140543</v>
      </c>
      <c r="R21">
        <f t="shared" si="6"/>
        <v>1.7771406117087332</v>
      </c>
      <c r="T21" s="37" t="s">
        <v>32</v>
      </c>
      <c r="U21">
        <v>4</v>
      </c>
    </row>
    <row r="22" spans="1:21" x14ac:dyDescent="0.3">
      <c r="A22" s="41" t="s">
        <v>55</v>
      </c>
      <c r="B22" s="41">
        <v>-39.066629293319998</v>
      </c>
      <c r="C22" s="41">
        <v>-40.344013464477797</v>
      </c>
      <c r="D22" s="41">
        <v>-39.004357125694803</v>
      </c>
      <c r="E22" s="41">
        <v>-42.361533007252199</v>
      </c>
      <c r="F22" s="41">
        <v>-38.8253263709179</v>
      </c>
      <c r="G22" s="41">
        <v>-42.443133142463253</v>
      </c>
      <c r="H22">
        <v>-37.571732882540203</v>
      </c>
      <c r="I22" s="42">
        <v>1</v>
      </c>
      <c r="J22" s="42"/>
      <c r="L22">
        <f t="shared" si="0"/>
        <v>-39.066629293319998</v>
      </c>
      <c r="M22">
        <f t="shared" si="1"/>
        <v>-40.344013464477797</v>
      </c>
      <c r="N22">
        <f t="shared" si="2"/>
        <v>-39.004357125694803</v>
      </c>
      <c r="O22">
        <f t="shared" si="3"/>
        <v>-42.361533007252199</v>
      </c>
      <c r="P22">
        <f t="shared" si="4"/>
        <v>-38.8253263709179</v>
      </c>
      <c r="Q22">
        <f t="shared" ref="Q22" si="8">G22*$I22</f>
        <v>-42.443133142463253</v>
      </c>
      <c r="R22">
        <f t="shared" ref="R22" si="9">H22*$I22</f>
        <v>-37.571732882540203</v>
      </c>
      <c r="T22" s="37" t="s">
        <v>33</v>
      </c>
      <c r="U22">
        <v>5</v>
      </c>
    </row>
    <row r="23" spans="1:21" x14ac:dyDescent="0.3">
      <c r="I23">
        <f>SUM(J3:J21)</f>
        <v>19</v>
      </c>
      <c r="L23">
        <f>SUM(L2:L22)</f>
        <v>26.155127551835015</v>
      </c>
      <c r="M23">
        <f t="shared" ref="M23:R23" si="10">SUM(M2:M22)</f>
        <v>26.178474238956966</v>
      </c>
      <c r="N23">
        <f t="shared" si="10"/>
        <v>27.193999911432009</v>
      </c>
      <c r="O23">
        <f t="shared" si="10"/>
        <v>28.452505882474547</v>
      </c>
      <c r="P23">
        <f t="shared" si="10"/>
        <v>24.379377528161093</v>
      </c>
      <c r="Q23">
        <f t="shared" si="10"/>
        <v>31.463851237153833</v>
      </c>
      <c r="R23">
        <f t="shared" si="10"/>
        <v>28.855937085106305</v>
      </c>
      <c r="S23">
        <f>MAX(L23:R23)</f>
        <v>31.463851237153833</v>
      </c>
      <c r="T23" s="37" t="s">
        <v>34</v>
      </c>
      <c r="U23">
        <v>6</v>
      </c>
    </row>
    <row r="24" spans="1:21" ht="15.75" customHeight="1" x14ac:dyDescent="0.3">
      <c r="B24" s="15"/>
      <c r="C24" s="15"/>
      <c r="D24" s="15"/>
      <c r="E24" s="15"/>
      <c r="F24" s="15"/>
      <c r="G24" s="15"/>
      <c r="L24" s="37" t="str">
        <f t="shared" ref="L24:R24" si="11">B2</f>
        <v>Anxious avoiders</v>
      </c>
      <c r="M24" s="37" t="str">
        <f t="shared" si="11"/>
        <v>Young impressionables</v>
      </c>
      <c r="N24" s="37" t="str">
        <f t="shared" si="11"/>
        <v>Almost active</v>
      </c>
      <c r="O24" s="37" t="str">
        <f t="shared" si="11"/>
        <v>Time poor integrators</v>
      </c>
      <c r="P24" s="37" t="str">
        <f t="shared" si="11"/>
        <v>Elderly evaders</v>
      </c>
      <c r="Q24" s="37" t="str">
        <f t="shared" si="11"/>
        <v>Inconsistently involved</v>
      </c>
      <c r="R24" s="37" t="str">
        <f t="shared" si="11"/>
        <v>Want to but can't</v>
      </c>
      <c r="T24" s="37" t="s">
        <v>35</v>
      </c>
      <c r="U24">
        <v>7</v>
      </c>
    </row>
    <row r="25" spans="1:21" x14ac:dyDescent="0.3">
      <c r="B25" s="45" t="s">
        <v>63</v>
      </c>
      <c r="C25" s="17">
        <v>0</v>
      </c>
      <c r="D25" s="18"/>
      <c r="E25" s="18"/>
      <c r="F25" s="18"/>
      <c r="G25" s="18"/>
      <c r="K25">
        <f>SUM(K6,K9,K17)</f>
        <v>2</v>
      </c>
      <c r="L25">
        <f>EXP(L23)</f>
        <v>228574389897.13611</v>
      </c>
      <c r="M25">
        <f t="shared" ref="M25:R25" si="12">EXP(M23)</f>
        <v>233973626563.11475</v>
      </c>
      <c r="N25">
        <f t="shared" si="12"/>
        <v>645957734056.86584</v>
      </c>
      <c r="O25">
        <f t="shared" si="12"/>
        <v>2273873503667.3979</v>
      </c>
      <c r="P25">
        <f t="shared" si="12"/>
        <v>38710531361.305496</v>
      </c>
      <c r="Q25">
        <f t="shared" si="12"/>
        <v>46193085446443.961</v>
      </c>
      <c r="R25">
        <f t="shared" si="12"/>
        <v>3403880039934.2065</v>
      </c>
      <c r="S25">
        <f>SUM(L25:R25)</f>
        <v>53018055271923.984</v>
      </c>
    </row>
    <row r="26" spans="1:21" x14ac:dyDescent="0.3">
      <c r="B26" s="36" t="s">
        <v>57</v>
      </c>
      <c r="C26" s="16">
        <v>1</v>
      </c>
      <c r="D26" s="19"/>
      <c r="E26" s="20"/>
      <c r="F26" s="20"/>
      <c r="G26" s="20"/>
      <c r="I26" t="s">
        <v>58</v>
      </c>
      <c r="K26">
        <f>IF(K25&gt;0,1,0)</f>
        <v>1</v>
      </c>
      <c r="L26" t="str">
        <f>HLOOKUP(S23,L23:R24,2,FALSE)</f>
        <v>Inconsistently involved</v>
      </c>
    </row>
    <row r="27" spans="1:21" x14ac:dyDescent="0.3">
      <c r="B27" s="36" t="s">
        <v>24</v>
      </c>
      <c r="C27" s="16">
        <v>2</v>
      </c>
      <c r="D27" s="19"/>
      <c r="E27" s="20"/>
      <c r="F27" s="20"/>
      <c r="G27" s="20"/>
      <c r="I27" s="31" t="s">
        <v>59</v>
      </c>
      <c r="J27" s="31"/>
      <c r="K27">
        <f>K18</f>
        <v>1</v>
      </c>
      <c r="L27">
        <f>VLOOKUP(L26,$T$18:$U$24,2,0)</f>
        <v>6</v>
      </c>
    </row>
    <row r="28" spans="1:21" x14ac:dyDescent="0.3">
      <c r="B28" s="22" t="s">
        <v>18</v>
      </c>
      <c r="C28" s="16">
        <v>3</v>
      </c>
      <c r="D28" s="19"/>
      <c r="E28" s="20"/>
      <c r="F28" s="20"/>
      <c r="G28" s="20"/>
      <c r="I28" t="s">
        <v>60</v>
      </c>
      <c r="K28">
        <f>K27+K26</f>
        <v>2</v>
      </c>
      <c r="L28" s="27">
        <f>L25/$S$25</f>
        <v>4.3112556415885548E-3</v>
      </c>
      <c r="M28" s="27">
        <f t="shared" ref="M28:R28" si="13">M25/$S$25</f>
        <v>4.4130933389217846E-3</v>
      </c>
      <c r="N28" s="27">
        <f t="shared" si="13"/>
        <v>1.2183731197680056E-2</v>
      </c>
      <c r="O28" s="27">
        <f t="shared" si="13"/>
        <v>4.2888662965945124E-2</v>
      </c>
      <c r="P28" s="27">
        <f t="shared" si="13"/>
        <v>7.3013865112108106E-4</v>
      </c>
      <c r="Q28" s="27">
        <f t="shared" si="13"/>
        <v>0.87127083801026883</v>
      </c>
      <c r="R28" s="27">
        <f t="shared" si="13"/>
        <v>6.4202280194474631E-2</v>
      </c>
    </row>
    <row r="29" spans="1:21" x14ac:dyDescent="0.3">
      <c r="B29" s="36" t="s">
        <v>25</v>
      </c>
      <c r="C29" s="16">
        <v>4</v>
      </c>
      <c r="D29" s="19"/>
      <c r="E29" s="20"/>
      <c r="F29" s="20"/>
      <c r="G29" s="20"/>
      <c r="I29" t="s">
        <v>61</v>
      </c>
      <c r="K29">
        <f>IF(K28=2,1,0)</f>
        <v>1</v>
      </c>
      <c r="L29">
        <f>MAX(L23:P23,R23)</f>
        <v>28.855937085106305</v>
      </c>
    </row>
    <row r="30" spans="1:21" x14ac:dyDescent="0.3">
      <c r="B30" s="36" t="s">
        <v>26</v>
      </c>
      <c r="C30" s="16">
        <v>5</v>
      </c>
      <c r="D30" s="19"/>
      <c r="E30" s="20"/>
      <c r="F30" s="20"/>
      <c r="G30" s="20"/>
      <c r="K30">
        <f>IF(L27=6,1,0)</f>
        <v>1</v>
      </c>
      <c r="L30" t="str">
        <f>HLOOKUP(L29,L23:R24,2,FALSE)</f>
        <v>Want to but can't</v>
      </c>
    </row>
    <row r="31" spans="1:21" x14ac:dyDescent="0.3">
      <c r="B31" s="45" t="s">
        <v>63</v>
      </c>
      <c r="C31" s="17">
        <v>-1</v>
      </c>
      <c r="D31" s="19"/>
      <c r="E31" s="20"/>
      <c r="F31" s="20"/>
      <c r="G31" s="21"/>
      <c r="J31">
        <f>K30+K29</f>
        <v>2</v>
      </c>
      <c r="K31" t="str">
        <f>IF(J31=2,L26,L30)</f>
        <v>Inconsistently involved</v>
      </c>
    </row>
    <row r="32" spans="1:21" x14ac:dyDescent="0.3">
      <c r="B32" s="40" t="s">
        <v>27</v>
      </c>
      <c r="C32" s="39">
        <v>0</v>
      </c>
      <c r="D32" s="14"/>
      <c r="E32" s="14"/>
      <c r="F32" s="14"/>
      <c r="G32" s="14"/>
      <c r="K32" t="str">
        <f>IF(I23=19,K31,"Please complete all questions")</f>
        <v>Inconsistently involved</v>
      </c>
    </row>
    <row r="33" spans="2:3" x14ac:dyDescent="0.3">
      <c r="B33">
        <v>1</v>
      </c>
      <c r="C33" s="39">
        <v>1</v>
      </c>
    </row>
    <row r="34" spans="2:3" x14ac:dyDescent="0.3">
      <c r="B34">
        <v>2</v>
      </c>
      <c r="C34" s="39">
        <v>2</v>
      </c>
    </row>
    <row r="35" spans="2:3" x14ac:dyDescent="0.3">
      <c r="B35">
        <v>3</v>
      </c>
      <c r="C35" s="39">
        <v>3</v>
      </c>
    </row>
    <row r="36" spans="2:3" x14ac:dyDescent="0.3">
      <c r="B36">
        <v>4</v>
      </c>
      <c r="C36" s="39">
        <v>4</v>
      </c>
    </row>
    <row r="37" spans="2:3" x14ac:dyDescent="0.3">
      <c r="B37">
        <v>5</v>
      </c>
      <c r="C37" s="39">
        <v>5</v>
      </c>
    </row>
    <row r="38" spans="2:3" x14ac:dyDescent="0.3">
      <c r="B38">
        <v>6</v>
      </c>
      <c r="C38" s="39">
        <v>6</v>
      </c>
    </row>
    <row r="39" spans="2:3" x14ac:dyDescent="0.3">
      <c r="B39">
        <v>7</v>
      </c>
      <c r="C39" s="39">
        <v>7</v>
      </c>
    </row>
    <row r="40" spans="2:3" x14ac:dyDescent="0.3">
      <c r="B40">
        <v>8</v>
      </c>
      <c r="C40" s="39">
        <v>8</v>
      </c>
    </row>
    <row r="41" spans="2:3" x14ac:dyDescent="0.3">
      <c r="B41">
        <v>9</v>
      </c>
      <c r="C41" s="39">
        <v>9</v>
      </c>
    </row>
    <row r="42" spans="2:3" x14ac:dyDescent="0.3">
      <c r="B42" t="s">
        <v>28</v>
      </c>
      <c r="C42" s="39">
        <v>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46ACD30336D4C8FC4D5BDDB918876" ma:contentTypeVersion="24" ma:contentTypeDescription="Create a new document." ma:contentTypeScope="" ma:versionID="8cd488f250655b9e5934929b34a4602e">
  <xsd:schema xmlns:xsd="http://www.w3.org/2001/XMLSchema" xmlns:xs="http://www.w3.org/2001/XMLSchema" xmlns:p="http://schemas.microsoft.com/office/2006/metadata/properties" xmlns:ns1="http://schemas.microsoft.com/sharepoint/v3" xmlns:ns2="ec1552c1-bf62-4cca-b5c7-c62fb33418a7" xmlns:ns3="1fabc0b5-c5c3-4ef9-96a5-b387017c59a8" targetNamespace="http://schemas.microsoft.com/office/2006/metadata/properties" ma:root="true" ma:fieldsID="ac32f323890513edcbff392f09831429" ns1:_="" ns2:_="" ns3:_="">
    <xsd:import namespace="http://schemas.microsoft.com/sharepoint/v3"/>
    <xsd:import namespace="ec1552c1-bf62-4cca-b5c7-c62fb33418a7"/>
    <xsd:import namespace="1fabc0b5-c5c3-4ef9-96a5-b387017c59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2:TaxKeywordTaxHTField" minOccurs="0"/>
                <xsd:element ref="ns2:TaxCatchAll" minOccurs="0"/>
                <xsd:element ref="ns2:LastSharedByUser" minOccurs="0"/>
                <xsd:element ref="ns2:LastSharedByTime" minOccurs="0"/>
                <xsd:element ref="ns3:Year" minOccurs="0"/>
                <xsd:element ref="ns3:Client" minOccurs="0"/>
                <xsd:element ref="ns3:Project" minOccurs="0"/>
                <xsd:element ref="ns3:Work_x0020_Theme" minOccurs="0"/>
                <xsd:element ref="ns3:Document_x0020_Type" minOccurs="0"/>
                <xsd:element ref="ns3:y79r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552c1-bf62-4cca-b5c7-c62fb33418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d22810b7-b007-45a7-8c4a-67f3c97322c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30c49e0e-1b2d-4beb-82fd-8b6883dce2b1}" ma:internalName="TaxCatchAll" ma:showField="CatchAllData" ma:web="ec1552c1-bf62-4cca-b5c7-c62fb33418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SharedByUser" ma:index="15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6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bc0b5-c5c3-4ef9-96a5-b387017c59a8" elementFormDefault="qualified">
    <xsd:import namespace="http://schemas.microsoft.com/office/2006/documentManagement/types"/>
    <xsd:import namespace="http://schemas.microsoft.com/office/infopath/2007/PartnerControls"/>
    <xsd:element name="Year" ma:index="17" nillable="true" ma:displayName="Year" ma:default="2017" ma:format="Dropdown" ma:internalName="Year">
      <xsd:simpleType>
        <xsd:restriction base="dms:Choice"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</xsd:restriction>
      </xsd:simpleType>
    </xsd:element>
    <xsd:element name="Client" ma:index="18" nillable="true" ma:displayName="Client" ma:list="{07cbd16b-c327-40ca-9c20-c4c7164e6c6b}" ma:internalName="Client" ma:showField="Title">
      <xsd:simpleType>
        <xsd:restriction base="dms:Lookup"/>
      </xsd:simpleType>
    </xsd:element>
    <xsd:element name="Project" ma:index="19" nillable="true" ma:displayName="Project" ma:list="{90d1b633-63e8-4209-b3a4-9755c1acbbc4}" ma:internalName="Project" ma:showField="Title">
      <xsd:simpleType>
        <xsd:restriction base="dms:Lookup"/>
      </xsd:simpleType>
    </xsd:element>
    <xsd:element name="Work_x0020_Theme" ma:index="20" nillable="true" ma:displayName="Work Theme" ma:default="Internal" ma:format="Dropdown" ma:indexed="true" ma:internalName="Work_x0020_Theme">
      <xsd:simpleType>
        <xsd:restriction base="dms:Choice">
          <xsd:enumeration value="Internal"/>
          <xsd:enumeration value="Insight Project"/>
          <xsd:enumeration value="Team Planning"/>
        </xsd:restriction>
      </xsd:simpleType>
    </xsd:element>
    <xsd:element name="Document_x0020_Type" ma:index="21" nillable="true" ma:displayName="Document Type" ma:default="Agenda" ma:format="Dropdown" ma:internalName="Document_x0020_Type">
      <xsd:simpleType>
        <xsd:restriction base="dms:Choice">
          <xsd:enumeration value="Agenda"/>
          <xsd:enumeration value="Alteryx Designer File"/>
          <xsd:enumeration value="Attendee List"/>
          <xsd:enumeration value="Audit"/>
          <xsd:enumeration value="Brochure"/>
          <xsd:enumeration value="Budget"/>
          <xsd:enumeration value="Business Case"/>
          <xsd:enumeration value="Business Plan"/>
          <xsd:enumeration value="Business Requirements"/>
          <xsd:enumeration value="Bylaw"/>
          <xsd:enumeration value="Communication"/>
          <xsd:enumeration value="Communication Plan"/>
          <xsd:enumeration value="Consultation"/>
          <xsd:enumeration value="Contact List"/>
          <xsd:enumeration value="Contract"/>
          <xsd:enumeration value="Dashboard"/>
          <xsd:enumeration value="Data Set"/>
          <xsd:enumeration value="Document Set"/>
          <xsd:enumeration value="Draft"/>
          <xsd:enumeration value="Financial Report"/>
          <xsd:enumeration value="Financial Statement"/>
          <xsd:enumeration value="Forecast"/>
          <xsd:enumeration value="Form"/>
          <xsd:enumeration value="Graphics File"/>
          <xsd:enumeration value="Graphic Image"/>
          <xsd:enumeration value="Guidelines"/>
          <xsd:enumeration value="Handbook"/>
          <xsd:enumeration value="Image"/>
          <xsd:enumeration value="Information Sharing Agreement"/>
          <xsd:enumeration value="Invoice"/>
          <xsd:enumeration value="Lessons Learned"/>
          <xsd:enumeration value="Logo"/>
          <xsd:enumeration value="Manual"/>
          <xsd:enumeration value="Mapping File"/>
          <xsd:enumeration value="Meeting Minutes"/>
          <xsd:enumeration value="Nomination"/>
          <xsd:enumeration value="Org Chart"/>
          <xsd:enumeration value="Photo"/>
          <xsd:enumeration value="Policy"/>
          <xsd:enumeration value="Presentation"/>
          <xsd:enumeration value="Presentation Proposal"/>
          <xsd:enumeration value="Pricing"/>
          <xsd:enumeration value="Process"/>
          <xsd:enumeration value="Procedure"/>
          <xsd:enumeration value="Profile"/>
          <xsd:enumeration value="Progress Report"/>
          <xsd:enumeration value="Project Brief"/>
          <xsd:enumeration value="Project Charter"/>
          <xsd:enumeration value="Project Initiation"/>
          <xsd:enumeration value="Project Timeline"/>
          <xsd:enumeration value="Proposal"/>
          <xsd:enumeration value="Report"/>
          <xsd:enumeration value="Review"/>
          <xsd:enumeration value="Risk Register"/>
          <xsd:enumeration value="Quote"/>
          <xsd:enumeration value="Schedule"/>
          <xsd:enumeration value="SLA"/>
          <xsd:enumeration value="Statistics"/>
          <xsd:enumeration value="Status Report"/>
          <xsd:enumeration value="Strategy"/>
          <xsd:enumeration value="Survey"/>
          <xsd:enumeration value="Survey Result"/>
          <xsd:enumeration value="Technical Design"/>
          <xsd:enumeration value="Tender Response"/>
          <xsd:enumeration value="Video"/>
          <xsd:enumeration value="Workflow"/>
          <xsd:enumeration value="Working Document"/>
        </xsd:restriction>
      </xsd:simpleType>
    </xsd:element>
    <xsd:element name="y79r" ma:index="22" nillable="true" ma:displayName="Topic" ma:format="Dropdown" ma:internalName="y79r">
      <xsd:simpleType>
        <xsd:restriction base="dms:Choice">
          <xsd:enumeration value="Active Travel"/>
          <xsd:enumeration value="Active Lives"/>
          <xsd:enumeration value="Demographics"/>
          <xsd:enumeration value="Disability"/>
          <xsd:enumeration value="Education"/>
          <xsd:enumeration value="Facilities"/>
          <xsd:enumeration value="Funding"/>
          <xsd:enumeration value="Health"/>
          <xsd:enumeration value="London Sport Projects"/>
          <xsd:enumeration value="Multiple Topics"/>
          <xsd:enumeration value="Physical Activity"/>
          <xsd:enumeration value="Sport Participation (APS)"/>
          <xsd:enumeration value="Workforce"/>
        </xsd:restriction>
      </xsd:simpleType>
    </xsd:element>
    <xsd:element name="MediaServiceMetadata" ma:index="2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8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c1552c1-bf62-4cca-b5c7-c62fb33418a7">
      <Terms xmlns="http://schemas.microsoft.com/office/infopath/2007/PartnerControls"/>
    </TaxKeywordTaxHTField>
    <Year xmlns="1fabc0b5-c5c3-4ef9-96a5-b387017c59a8">2017</Year>
    <y79r xmlns="1fabc0b5-c5c3-4ef9-96a5-b387017c59a8" xsi:nil="true"/>
    <Project xmlns="1fabc0b5-c5c3-4ef9-96a5-b387017c59a8" xsi:nil="true"/>
    <Document_x0020_Type xmlns="1fabc0b5-c5c3-4ef9-96a5-b387017c59a8">Agenda</Document_x0020_Type>
    <PublishingExpirationDate xmlns="http://schemas.microsoft.com/sharepoint/v3" xsi:nil="true"/>
    <TaxCatchAll xmlns="ec1552c1-bf62-4cca-b5c7-c62fb33418a7"/>
    <Client xmlns="1fabc0b5-c5c3-4ef9-96a5-b387017c59a8" xsi:nil="true"/>
    <PublishingStartDate xmlns="http://schemas.microsoft.com/sharepoint/v3" xsi:nil="true"/>
    <Work_x0020_Theme xmlns="1fabc0b5-c5c3-4ef9-96a5-b387017c59a8">Internal</Work_x0020_Theme>
  </documentManagement>
</p:properties>
</file>

<file path=customXml/itemProps1.xml><?xml version="1.0" encoding="utf-8"?>
<ds:datastoreItem xmlns:ds="http://schemas.openxmlformats.org/officeDocument/2006/customXml" ds:itemID="{2D1CCDE6-D31B-4330-AB9F-C0A24FBD2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1552c1-bf62-4cca-b5c7-c62fb33418a7"/>
    <ds:schemaRef ds:uri="1fabc0b5-c5c3-4ef9-96a5-b387017c5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019CE-C2CC-4D0C-B45F-00742A54D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BE566-2388-417D-8889-AF6B11C6375F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abc0b5-c5c3-4ef9-96a5-b387017c59a8"/>
    <ds:schemaRef ds:uri="http://purl.org/dc/elements/1.1/"/>
    <ds:schemaRef ds:uri="http://schemas.microsoft.com/office/2006/metadata/properties"/>
    <ds:schemaRef ds:uri="ec1552c1-bf62-4cca-b5c7-c62fb33418a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 Sheet</vt:lpstr>
      <vt:lpstr>Coefficients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Alisha Michaels</dc:creator>
  <cp:lastModifiedBy>Alisha Michaels</cp:lastModifiedBy>
  <dcterms:created xsi:type="dcterms:W3CDTF">2019-06-19T14:19:03Z</dcterms:created>
  <dcterms:modified xsi:type="dcterms:W3CDTF">2019-06-19T14:21:03Z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512">
    <vt:lpwstr>3741</vt:lpwstr>
  </property>
  <property fmtid="{D5CDD505-2E9C-101B-9397-08002B2CF9AE}" pid="3" name="TaxKeyword">
    <vt:lpwstr/>
  </property>
  <property fmtid="{D5CDD505-2E9C-101B-9397-08002B2CF9AE}" pid="4" name="ContentTypeId">
    <vt:lpwstr>0x0101005DA46ACD30336D4C8FC4D5BDDB918876</vt:lpwstr>
  </property>
</Properties>
</file>